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ngram\Company\Web Source Documents\New site\Complete (PDF etc.)\"/>
    </mc:Choice>
  </mc:AlternateContent>
  <xr:revisionPtr revIDLastSave="0" documentId="13_ncr:1_{8F24EB44-B6A6-4EB1-88BD-06AFC5CBCE95}" xr6:coauthVersionLast="47" xr6:coauthVersionMax="47" xr10:uidLastSave="{00000000-0000-0000-0000-000000000000}"/>
  <bookViews>
    <workbookView xWindow="28680" yWindow="-120" windowWidth="29040" windowHeight="16440" xr2:uid="{51741F04-C2FC-4C3E-A5C6-A624E4E6B58E}"/>
  </bookViews>
  <sheets>
    <sheet name="Energy map 2" sheetId="1" r:id="rId1"/>
  </sheets>
  <definedNames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2" i="1"/>
  <c r="E51" i="1"/>
  <c r="E49" i="1"/>
  <c r="G49" i="1" s="1"/>
  <c r="E48" i="1"/>
  <c r="G48" i="1" s="1"/>
  <c r="H48" i="1" s="1"/>
  <c r="M66" i="1" s="1"/>
  <c r="E46" i="1"/>
  <c r="G45" i="1"/>
  <c r="E45" i="1"/>
  <c r="G44" i="1"/>
  <c r="E44" i="1"/>
  <c r="D40" i="1"/>
  <c r="E40" i="1" s="1"/>
  <c r="E39" i="1"/>
  <c r="D39" i="1"/>
  <c r="E38" i="1"/>
  <c r="D38" i="1"/>
  <c r="E37" i="1"/>
  <c r="D37" i="1"/>
  <c r="D36" i="1"/>
  <c r="E36" i="1" s="1"/>
  <c r="D35" i="1"/>
  <c r="E35" i="1" s="1"/>
  <c r="D34" i="1"/>
  <c r="E34" i="1" s="1"/>
  <c r="E33" i="1"/>
  <c r="D33" i="1"/>
  <c r="E32" i="1"/>
  <c r="D32" i="1"/>
  <c r="E31" i="1"/>
  <c r="D31" i="1"/>
  <c r="D30" i="1"/>
  <c r="E30" i="1" s="1"/>
  <c r="D29" i="1"/>
  <c r="E29" i="1" s="1"/>
  <c r="D28" i="1"/>
  <c r="E28" i="1" s="1"/>
  <c r="E27" i="1"/>
  <c r="D27" i="1"/>
  <c r="E26" i="1"/>
  <c r="D26" i="1"/>
  <c r="E25" i="1"/>
  <c r="G25" i="1" s="1"/>
  <c r="D25" i="1"/>
  <c r="F21" i="1"/>
  <c r="G21" i="1" s="1"/>
  <c r="E21" i="1"/>
  <c r="F20" i="1"/>
  <c r="E20" i="1"/>
  <c r="G20" i="1" s="1"/>
  <c r="E19" i="1"/>
  <c r="F18" i="1"/>
  <c r="E18" i="1"/>
  <c r="G18" i="1" s="1"/>
  <c r="F16" i="1"/>
  <c r="E16" i="1"/>
  <c r="G16" i="1" s="1"/>
  <c r="G15" i="1"/>
  <c r="F15" i="1"/>
  <c r="E15" i="1"/>
  <c r="F14" i="1"/>
  <c r="E14" i="1"/>
  <c r="G14" i="1" s="1"/>
  <c r="F13" i="1"/>
  <c r="G13" i="1" s="1"/>
  <c r="E13" i="1"/>
  <c r="F12" i="1"/>
  <c r="E12" i="1"/>
  <c r="G12" i="1" s="1"/>
  <c r="G11" i="1"/>
  <c r="F11" i="1"/>
  <c r="E11" i="1"/>
  <c r="F10" i="1"/>
  <c r="E10" i="1"/>
  <c r="G10" i="1" s="1"/>
  <c r="G8" i="1"/>
  <c r="F8" i="1"/>
  <c r="E8" i="1"/>
  <c r="F7" i="1"/>
  <c r="E7" i="1"/>
  <c r="G7" i="1" s="1"/>
  <c r="F6" i="1"/>
  <c r="C6" i="1"/>
  <c r="E6" i="1" s="1"/>
  <c r="G6" i="1" s="1"/>
  <c r="F5" i="1"/>
  <c r="E5" i="1"/>
  <c r="G5" i="1" s="1"/>
  <c r="H5" i="1" s="1"/>
  <c r="R4" i="1"/>
  <c r="Q4" i="1"/>
  <c r="F25" i="1" s="1"/>
  <c r="P4" i="1"/>
  <c r="F52" i="1" s="1"/>
  <c r="G35" i="1" l="1"/>
  <c r="G26" i="1"/>
  <c r="H25" i="1" s="1"/>
  <c r="G27" i="1"/>
  <c r="H27" i="1" s="1"/>
  <c r="G32" i="1"/>
  <c r="H10" i="1"/>
  <c r="H22" i="1" s="1"/>
  <c r="M63" i="1"/>
  <c r="F39" i="1"/>
  <c r="G39" i="1" s="1"/>
  <c r="F33" i="1"/>
  <c r="G33" i="1" s="1"/>
  <c r="F27" i="1"/>
  <c r="F35" i="1"/>
  <c r="F29" i="1"/>
  <c r="F37" i="1"/>
  <c r="F31" i="1"/>
  <c r="M62" i="1"/>
  <c r="M16" i="1"/>
  <c r="N17" i="1" s="1"/>
  <c r="M64" i="1"/>
  <c r="G46" i="1"/>
  <c r="H44" i="1" s="1"/>
  <c r="G29" i="1"/>
  <c r="G30" i="1"/>
  <c r="G36" i="1"/>
  <c r="G28" i="1"/>
  <c r="G52" i="1"/>
  <c r="H18" i="1"/>
  <c r="G37" i="1"/>
  <c r="G38" i="1"/>
  <c r="G31" i="1"/>
  <c r="H31" i="1" s="1"/>
  <c r="G53" i="1"/>
  <c r="F53" i="1"/>
  <c r="F19" i="1"/>
  <c r="G19" i="1" s="1"/>
  <c r="F51" i="1"/>
  <c r="G51" i="1" s="1"/>
  <c r="H51" i="1" s="1"/>
  <c r="M67" i="1" s="1"/>
  <c r="F46" i="1"/>
  <c r="M65" i="1" l="1"/>
  <c r="H54" i="1"/>
  <c r="H29" i="1"/>
  <c r="G34" i="1"/>
  <c r="H33" i="1" s="1"/>
  <c r="H35" i="1"/>
  <c r="G40" i="1"/>
  <c r="H39" i="1" s="1"/>
  <c r="H37" i="1"/>
  <c r="H41" i="1" l="1"/>
  <c r="M61" i="1" l="1"/>
  <c r="H55" i="1"/>
  <c r="H57" i="1" l="1"/>
  <c r="H59" i="1" s="1"/>
  <c r="N66" i="1"/>
  <c r="N64" i="1"/>
  <c r="N62" i="1"/>
  <c r="N63" i="1"/>
  <c r="L6" i="1"/>
  <c r="N67" i="1"/>
  <c r="L7" i="1"/>
  <c r="N65" i="1"/>
  <c r="L5" i="1"/>
  <c r="M68" i="1"/>
  <c r="N61" i="1"/>
  <c r="N68" i="1" s="1"/>
</calcChain>
</file>

<file path=xl/sharedStrings.xml><?xml version="1.0" encoding="utf-8"?>
<sst xmlns="http://schemas.openxmlformats.org/spreadsheetml/2006/main" count="94" uniqueCount="68">
  <si>
    <t>Energy map</t>
  </si>
  <si>
    <t>Nominal
load
(kW)</t>
  </si>
  <si>
    <t>Duty
(%)</t>
  </si>
  <si>
    <t>Actual
load
(kW)</t>
  </si>
  <si>
    <t>Hours</t>
  </si>
  <si>
    <t>kWh/
year</t>
  </si>
  <si>
    <t>Total
(kWh/year)</t>
  </si>
  <si>
    <t>Services</t>
  </si>
  <si>
    <t>Year</t>
  </si>
  <si>
    <t>Production</t>
  </si>
  <si>
    <t>Offices</t>
  </si>
  <si>
    <t>Compressed air</t>
  </si>
  <si>
    <t>Atlas Copco GA 75</t>
  </si>
  <si>
    <t>Injection moulding</t>
  </si>
  <si>
    <t>Atlas Copco GA 37 (stopped)</t>
  </si>
  <si>
    <t>Drier</t>
  </si>
  <si>
    <t>Site</t>
  </si>
  <si>
    <t>Extract fans</t>
  </si>
  <si>
    <t>Cooling water</t>
  </si>
  <si>
    <t>Tower fan (Tower 1)</t>
  </si>
  <si>
    <t>Pump to chiller</t>
  </si>
  <si>
    <t>Pump to process</t>
  </si>
  <si>
    <t>Pump to Tower 1</t>
  </si>
  <si>
    <t>Tower fan (Tower 2)</t>
  </si>
  <si>
    <t>Pump to Tower 2</t>
  </si>
  <si>
    <t>Chilled water</t>
  </si>
  <si>
    <t>Chiller 1</t>
  </si>
  <si>
    <t>Chiller 2</t>
  </si>
  <si>
    <t>System pumps (1 x 11 kW)</t>
  </si>
  <si>
    <t>Process pumps (1 x 22 kW)</t>
  </si>
  <si>
    <t>Services sub-total</t>
  </si>
  <si>
    <t>Injection moulding machines</t>
  </si>
  <si>
    <t>1x</t>
  </si>
  <si>
    <t>Main motor</t>
  </si>
  <si>
    <t>Heaters &amp; MTC</t>
  </si>
  <si>
    <t>8x</t>
  </si>
  <si>
    <t>Hydraulic (fixed)</t>
  </si>
  <si>
    <t>Hydraulic (servo)</t>
  </si>
  <si>
    <t>19x</t>
  </si>
  <si>
    <t>Heater</t>
  </si>
  <si>
    <t>12x</t>
  </si>
  <si>
    <t>MTC</t>
  </si>
  <si>
    <t>Electric Screw</t>
  </si>
  <si>
    <t>2x</t>
  </si>
  <si>
    <t>3x</t>
  </si>
  <si>
    <t>Moulding sub-total</t>
  </si>
  <si>
    <t>Lighting</t>
  </si>
  <si>
    <t>Main office</t>
  </si>
  <si>
    <t>Other offices</t>
  </si>
  <si>
    <t>Factory (all)</t>
  </si>
  <si>
    <t>Heating/cooling</t>
  </si>
  <si>
    <t>A/C 1</t>
  </si>
  <si>
    <t>A/C 2</t>
  </si>
  <si>
    <t>Workshop A/C</t>
  </si>
  <si>
    <t>Site sub-total</t>
  </si>
  <si>
    <t>Global total</t>
  </si>
  <si>
    <t>Reality check</t>
  </si>
  <si>
    <t>Map value</t>
  </si>
  <si>
    <t>Actual value for year (from billing data)</t>
  </si>
  <si>
    <t>Difference</t>
  </si>
  <si>
    <t>kWh</t>
  </si>
  <si>
    <t>%</t>
  </si>
  <si>
    <t>Main process</t>
  </si>
  <si>
    <t>Comp. air</t>
  </si>
  <si>
    <t>Chilled and cooling water</t>
  </si>
  <si>
    <t>Water pumps</t>
  </si>
  <si>
    <t>Heat/Cool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</si>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</sst>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[$€-2]\ #,##0"/>
    <numFmt numFmtId="166" formatCode="0.0%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3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9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2" borderId="0" xfId="1" applyFont="1" applyFill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4" fontId="2" fillId="0" borderId="0" xfId="1" applyNumberFormat="1" applyAlignment="1">
      <alignment horizontal="center"/>
    </xf>
    <xf numFmtId="0" fontId="2" fillId="0" borderId="0" xfId="1"/>
    <xf numFmtId="0" fontId="6" fillId="3" borderId="2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6" fillId="3" borderId="5" xfId="1" applyFont="1" applyFill="1" applyBorder="1" applyAlignment="1">
      <alignment vertical="center"/>
    </xf>
    <xf numFmtId="1" fontId="2" fillId="0" borderId="0" xfId="1" applyNumberFormat="1" applyAlignment="1">
      <alignment horizontal="center"/>
    </xf>
    <xf numFmtId="0" fontId="2" fillId="3" borderId="6" xfId="1" applyFill="1" applyBorder="1" applyAlignment="1">
      <alignment vertical="center"/>
    </xf>
    <xf numFmtId="0" fontId="2" fillId="3" borderId="1" xfId="1" applyFill="1" applyBorder="1" applyAlignment="1">
      <alignment vertical="center"/>
    </xf>
    <xf numFmtId="0" fontId="2" fillId="3" borderId="1" xfId="1" applyFill="1" applyBorder="1" applyAlignment="1">
      <alignment horizontal="center" vertical="center"/>
    </xf>
    <xf numFmtId="9" fontId="2" fillId="3" borderId="1" xfId="1" applyNumberFormat="1" applyFill="1" applyBorder="1" applyAlignment="1">
      <alignment horizontal="center" vertical="center"/>
    </xf>
    <xf numFmtId="3" fontId="2" fillId="3" borderId="1" xfId="1" applyNumberFormat="1" applyFill="1" applyBorder="1" applyAlignment="1">
      <alignment horizontal="center" vertical="center"/>
    </xf>
    <xf numFmtId="9" fontId="2" fillId="0" borderId="0" xfId="2" applyFont="1"/>
    <xf numFmtId="0" fontId="6" fillId="3" borderId="4" xfId="1" applyFont="1" applyFill="1" applyBorder="1" applyAlignment="1">
      <alignment vertical="center"/>
    </xf>
    <xf numFmtId="10" fontId="2" fillId="0" borderId="0" xfId="2" applyNumberFormat="1" applyFont="1"/>
    <xf numFmtId="3" fontId="2" fillId="0" borderId="0" xfId="1" applyNumberFormat="1"/>
    <xf numFmtId="0" fontId="6" fillId="3" borderId="6" xfId="1" applyFont="1" applyFill="1" applyBorder="1" applyAlignment="1">
      <alignment horizontal="left" vertical="center"/>
    </xf>
    <xf numFmtId="3" fontId="6" fillId="3" borderId="1" xfId="1" applyNumberFormat="1" applyFont="1" applyFill="1" applyBorder="1" applyAlignment="1">
      <alignment horizontal="center" vertical="center"/>
    </xf>
    <xf numFmtId="4" fontId="2" fillId="0" borderId="0" xfId="1" applyNumberFormat="1"/>
    <xf numFmtId="0" fontId="4" fillId="4" borderId="2" xfId="1" applyFont="1" applyFill="1" applyBorder="1" applyAlignment="1">
      <alignment vertical="center"/>
    </xf>
    <xf numFmtId="0" fontId="4" fillId="4" borderId="3" xfId="1" applyFont="1" applyFill="1" applyBorder="1" applyAlignment="1">
      <alignment vertical="center"/>
    </xf>
    <xf numFmtId="0" fontId="4" fillId="4" borderId="4" xfId="1" applyFont="1" applyFill="1" applyBorder="1" applyAlignment="1">
      <alignment vertical="center"/>
    </xf>
    <xf numFmtId="0" fontId="6" fillId="5" borderId="2" xfId="1" applyFont="1" applyFill="1" applyBorder="1" applyAlignment="1">
      <alignment vertical="center"/>
    </xf>
    <xf numFmtId="0" fontId="6" fillId="5" borderId="3" xfId="1" applyFont="1" applyFill="1" applyBorder="1" applyAlignment="1">
      <alignment vertical="center"/>
    </xf>
    <xf numFmtId="0" fontId="6" fillId="5" borderId="5" xfId="1" applyFont="1" applyFill="1" applyBorder="1" applyAlignment="1">
      <alignment vertical="center"/>
    </xf>
    <xf numFmtId="0" fontId="2" fillId="5" borderId="7" xfId="1" applyFill="1" applyBorder="1" applyAlignment="1">
      <alignment vertical="center"/>
    </xf>
    <xf numFmtId="0" fontId="2" fillId="5" borderId="1" xfId="1" applyFill="1" applyBorder="1" applyAlignment="1">
      <alignment horizontal="center" vertical="center"/>
    </xf>
    <xf numFmtId="9" fontId="2" fillId="5" borderId="1" xfId="2" applyFont="1" applyFill="1" applyBorder="1" applyAlignment="1">
      <alignment horizontal="center" vertical="center"/>
    </xf>
    <xf numFmtId="3" fontId="2" fillId="5" borderId="1" xfId="1" applyNumberFormat="1" applyFill="1" applyBorder="1" applyAlignment="1">
      <alignment horizontal="center" vertical="center"/>
    </xf>
    <xf numFmtId="0" fontId="2" fillId="5" borderId="9" xfId="1" applyFill="1" applyBorder="1" applyAlignment="1">
      <alignment vertical="center"/>
    </xf>
    <xf numFmtId="9" fontId="2" fillId="5" borderId="9" xfId="2" applyFont="1" applyFill="1" applyBorder="1" applyAlignment="1">
      <alignment horizontal="center" vertical="center"/>
    </xf>
    <xf numFmtId="0" fontId="2" fillId="5" borderId="9" xfId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8" fillId="6" borderId="1" xfId="4" applyFont="1" applyFill="1" applyBorder="1" applyAlignment="1">
      <alignment vertical="center"/>
    </xf>
    <xf numFmtId="9" fontId="8" fillId="0" borderId="1" xfId="5" applyFont="1" applyBorder="1" applyAlignment="1">
      <alignment horizontal="center" vertical="center"/>
    </xf>
    <xf numFmtId="0" fontId="4" fillId="4" borderId="5" xfId="1" applyFont="1" applyFill="1" applyBorder="1" applyAlignment="1">
      <alignment vertical="center"/>
    </xf>
    <xf numFmtId="0" fontId="6" fillId="3" borderId="6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10" fillId="4" borderId="3" xfId="1" applyFont="1" applyFill="1" applyBorder="1" applyAlignment="1">
      <alignment vertical="center"/>
    </xf>
    <xf numFmtId="0" fontId="10" fillId="4" borderId="3" xfId="1" applyFont="1" applyFill="1" applyBorder="1" applyAlignment="1">
      <alignment horizontal="center" vertical="center"/>
    </xf>
    <xf numFmtId="3" fontId="6" fillId="4" borderId="5" xfId="6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horizontal="center"/>
    </xf>
    <xf numFmtId="0" fontId="9" fillId="5" borderId="2" xfId="1" applyFont="1" applyFill="1" applyBorder="1" applyAlignment="1">
      <alignment vertical="center"/>
    </xf>
    <xf numFmtId="0" fontId="10" fillId="5" borderId="3" xfId="1" applyFont="1" applyFill="1" applyBorder="1" applyAlignment="1">
      <alignment vertical="center"/>
    </xf>
    <xf numFmtId="0" fontId="10" fillId="5" borderId="3" xfId="1" applyFont="1" applyFill="1" applyBorder="1" applyAlignment="1">
      <alignment horizontal="center" vertical="center"/>
    </xf>
    <xf numFmtId="3" fontId="6" fillId="5" borderId="5" xfId="6" applyNumberFormat="1" applyFont="1" applyFill="1" applyBorder="1" applyAlignment="1">
      <alignment horizontal="center" vertical="center"/>
    </xf>
    <xf numFmtId="164" fontId="6" fillId="3" borderId="1" xfId="6" applyNumberFormat="1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vertical="center"/>
    </xf>
    <xf numFmtId="3" fontId="11" fillId="0" borderId="0" xfId="7" applyNumberFormat="1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3" fontId="8" fillId="0" borderId="1" xfId="7" applyNumberFormat="1" applyFont="1" applyBorder="1" applyAlignment="1">
      <alignment horizontal="center" vertical="center"/>
    </xf>
    <xf numFmtId="10" fontId="8" fillId="0" borderId="1" xfId="8" applyNumberFormat="1" applyFont="1" applyBorder="1" applyAlignment="1">
      <alignment horizontal="center" vertical="center"/>
    </xf>
    <xf numFmtId="165" fontId="8" fillId="0" borderId="0" xfId="9" applyNumberFormat="1" applyFont="1" applyAlignment="1">
      <alignment horizontal="center" vertical="center"/>
    </xf>
    <xf numFmtId="3" fontId="8" fillId="8" borderId="1" xfId="7" applyNumberFormat="1" applyFont="1" applyFill="1" applyBorder="1" applyAlignment="1">
      <alignment horizontal="center" vertical="center"/>
    </xf>
    <xf numFmtId="166" fontId="8" fillId="8" borderId="1" xfId="8" applyNumberFormat="1" applyFont="1" applyFill="1" applyBorder="1" applyAlignment="1">
      <alignment horizontal="center" vertical="center"/>
    </xf>
    <xf numFmtId="3" fontId="2" fillId="0" borderId="0" xfId="1" applyNumberFormat="1" applyAlignment="1">
      <alignment horizontal="center"/>
    </xf>
    <xf numFmtId="0" fontId="8" fillId="8" borderId="1" xfId="7" applyFont="1" applyFill="1" applyBorder="1" applyAlignment="1">
      <alignment horizontal="left" vertical="center"/>
    </xf>
    <xf numFmtId="0" fontId="8" fillId="0" borderId="1" xfId="7" applyFont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  <xf numFmtId="3" fontId="2" fillId="5" borderId="7" xfId="1" applyNumberFormat="1" applyFill="1" applyBorder="1" applyAlignment="1">
      <alignment horizontal="center" vertical="center"/>
    </xf>
    <xf numFmtId="3" fontId="2" fillId="5" borderId="9" xfId="1" applyNumberFormat="1" applyFill="1" applyBorder="1" applyAlignment="1">
      <alignment horizontal="center" vertical="center"/>
    </xf>
    <xf numFmtId="3" fontId="6" fillId="5" borderId="7" xfId="1" applyNumberFormat="1" applyFont="1" applyFill="1" applyBorder="1" applyAlignment="1">
      <alignment horizontal="center" vertical="center"/>
    </xf>
    <xf numFmtId="3" fontId="6" fillId="5" borderId="9" xfId="1" applyNumberFormat="1" applyFont="1" applyFill="1" applyBorder="1" applyAlignment="1">
      <alignment horizontal="center" vertical="center"/>
    </xf>
    <xf numFmtId="3" fontId="6" fillId="3" borderId="7" xfId="1" applyNumberFormat="1" applyFont="1" applyFill="1" applyBorder="1" applyAlignment="1">
      <alignment horizontal="center" vertical="center"/>
    </xf>
    <xf numFmtId="3" fontId="6" fillId="3" borderId="8" xfId="1" applyNumberFormat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left" vertical="center"/>
    </xf>
    <xf numFmtId="0" fontId="6" fillId="3" borderId="11" xfId="1" applyFont="1" applyFill="1" applyBorder="1" applyAlignment="1">
      <alignment horizontal="left" vertical="center"/>
    </xf>
    <xf numFmtId="0" fontId="6" fillId="3" borderId="12" xfId="1" applyFont="1" applyFill="1" applyBorder="1" applyAlignment="1">
      <alignment horizontal="left" vertical="center"/>
    </xf>
    <xf numFmtId="0" fontId="6" fillId="7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4" fillId="4" borderId="3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horizontal="left" vertical="center"/>
    </xf>
  </cellXfs>
  <cellStyles count="10">
    <cellStyle name="Comma 2" xfId="6" xr:uid="{C438DF72-97D2-4941-A338-DF89CFB1BA7D}"/>
    <cellStyle name="Normal" xfId="0" builtinId="0"/>
    <cellStyle name="Normal 2 2" xfId="1" xr:uid="{202F4786-1385-419A-B15A-A69EE6C45A56}"/>
    <cellStyle name="Normal 3" xfId="9" xr:uid="{CABF6F0F-7DD2-496A-9FD1-E11F05FAEFD2}"/>
    <cellStyle name="Normal_Energy Map" xfId="4" xr:uid="{09B5CCB8-7A16-4A09-89AD-5256900A0C9E}"/>
    <cellStyle name="Normal_Energy Map Eaton Socon - 7-11-13" xfId="7" xr:uid="{0D6AFA58-EB00-4B79-8E95-7C3628CF338F}"/>
    <cellStyle name="Normal_GCS Norwich Energy Map 2010" xfId="3" xr:uid="{D68A8C15-7E6D-4D85-BEED-9F9DF4AAC37D}"/>
    <cellStyle name="Percent 11" xfId="5" xr:uid="{F6354F89-C2AB-4482-973D-DD296D797DE4}"/>
    <cellStyle name="Percent 2" xfId="2" xr:uid="{ED8E4B6B-01E5-4E48-8E62-D1F1F0FD65D7}"/>
    <cellStyle name="Percent_Energy Map Eaton Socon - 7-11-13 2" xfId="8" xr:uid="{5C56AF90-8D96-4FFB-9A50-2F52A361EE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94966719683414"/>
          <c:y val="0.12566097562841766"/>
          <c:w val="0.53634222222222228"/>
          <c:h val="0.8045133333333333"/>
        </c:manualLayout>
      </c:layout>
      <c:pieChart>
        <c:varyColors val="1"/>
        <c:ser>
          <c:idx val="0"/>
          <c:order val="0"/>
          <c:spPr>
            <a:ln w="9525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4C-4B26-91CA-EF43B7B361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4C-4B26-91CA-EF43B7B361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F4C-4B26-91CA-EF43B7B361AB}"/>
              </c:ext>
            </c:extLst>
          </c:dPt>
          <c:dLbls>
            <c:dLbl>
              <c:idx val="0"/>
              <c:layout>
                <c:manualLayout>
                  <c:x val="-6.4382635907002392E-3"/>
                  <c:y val="7.99526281308269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4C-4B26-91CA-EF43B7B361AB}"/>
                </c:ext>
              </c:extLst>
            </c:dLbl>
            <c:dLbl>
              <c:idx val="1"/>
              <c:layout>
                <c:manualLayout>
                  <c:x val="-7.4155186802604134E-2"/>
                  <c:y val="-4.40897553733314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4C-4B26-91CA-EF43B7B361AB}"/>
                </c:ext>
              </c:extLst>
            </c:dLbl>
            <c:dLbl>
              <c:idx val="2"/>
              <c:layout>
                <c:manualLayout>
                  <c:x val="-0.15586467948122051"/>
                  <c:y val="3.809667796968104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000890953738303E-2"/>
                      <c:h val="0.16000604747266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F4C-4B26-91CA-EF43B7B361A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'Energy map 2'!$K$5:$K$7</c:f>
              <c:strCache>
                <c:ptCount val="3"/>
                <c:pt idx="0">
                  <c:v>Injection moulding</c:v>
                </c:pt>
                <c:pt idx="1">
                  <c:v>Services</c:v>
                </c:pt>
                <c:pt idx="2">
                  <c:v>Site</c:v>
                </c:pt>
              </c:strCache>
            </c:strRef>
          </c:cat>
          <c:val>
            <c:numRef>
              <c:f>'Energy map 2'!$L$5:$L$7</c:f>
              <c:numCache>
                <c:formatCode>0%</c:formatCode>
                <c:ptCount val="3"/>
                <c:pt idx="0">
                  <c:v>0.66298897745888608</c:v>
                </c:pt>
                <c:pt idx="1">
                  <c:v>0.27483028815877769</c:v>
                </c:pt>
                <c:pt idx="2">
                  <c:v>6.2180734382336164E-2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C-4B26-91CA-EF43B7B361A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66712510925312"/>
          <c:y val="0.12566111111111111"/>
          <c:w val="0.53634222222222228"/>
          <c:h val="0.8045133333333333"/>
        </c:manualLayout>
      </c:layout>
      <c:pieChart>
        <c:varyColors val="1"/>
        <c:ser>
          <c:idx val="0"/>
          <c:order val="0"/>
          <c:spPr>
            <a:ln w="9525"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0B-4F70-83CB-EB627972C2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0B-4F70-83CB-EB627972C25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0B-4F70-83CB-EB627972C25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0B-4F70-83CB-EB627972C25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10B-4F70-83CB-EB627972C25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10B-4F70-83CB-EB627972C25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10B-4F70-83CB-EB627972C256}"/>
              </c:ext>
            </c:extLst>
          </c:dPt>
          <c:dLbls>
            <c:dLbl>
              <c:idx val="0"/>
              <c:layout>
                <c:manualLayout>
                  <c:x val="3.8997402640664078E-2"/>
                  <c:y val="4.9014897616292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0B-4F70-83CB-EB627972C256}"/>
                </c:ext>
              </c:extLst>
            </c:dLbl>
            <c:dLbl>
              <c:idx val="1"/>
              <c:layout>
                <c:manualLayout>
                  <c:x val="-8.9032795941198076E-2"/>
                  <c:y val="6.9235624387670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0B-4F70-83CB-EB627972C256}"/>
                </c:ext>
              </c:extLst>
            </c:dLbl>
            <c:dLbl>
              <c:idx val="2"/>
              <c:layout>
                <c:manualLayout>
                  <c:x val="-3.6791081443454457E-2"/>
                  <c:y val="1.62638591498095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0B-4F70-83CB-EB627972C256}"/>
                </c:ext>
              </c:extLst>
            </c:dLbl>
            <c:dLbl>
              <c:idx val="3"/>
              <c:layout>
                <c:manualLayout>
                  <c:x val="-0.10014795787595782"/>
                  <c:y val="2.96320370789057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0B-4F70-83CB-EB627972C256}"/>
                </c:ext>
              </c:extLst>
            </c:dLbl>
            <c:dLbl>
              <c:idx val="4"/>
              <c:layout>
                <c:manualLayout>
                  <c:x val="-9.7352766183066222E-2"/>
                  <c:y val="-1.1432828840331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0B-4F70-83CB-EB627972C256}"/>
                </c:ext>
              </c:extLst>
            </c:dLbl>
            <c:dLbl>
              <c:idx val="5"/>
              <c:layout>
                <c:manualLayout>
                  <c:x val="4.8491505145214317E-2"/>
                  <c:y val="-1.1684410368262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0B-4F70-83CB-EB627972C256}"/>
                </c:ext>
              </c:extLst>
            </c:dLbl>
            <c:dLbl>
              <c:idx val="6"/>
              <c:layout>
                <c:manualLayout>
                  <c:x val="0.16629706499320349"/>
                  <c:y val="-1.3450468362791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0B-4F70-83CB-EB627972C25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'Energy map 2'!$K$61:$K$67</c:f>
              <c:strCache>
                <c:ptCount val="7"/>
                <c:pt idx="0">
                  <c:v>Main process</c:v>
                </c:pt>
                <c:pt idx="1">
                  <c:v>Comp. air</c:v>
                </c:pt>
                <c:pt idx="2">
                  <c:v>Chilled and cooling water</c:v>
                </c:pt>
                <c:pt idx="3">
                  <c:v>Water pumps</c:v>
                </c:pt>
                <c:pt idx="4">
                  <c:v>Lighting</c:v>
                </c:pt>
                <c:pt idx="5">
                  <c:v>Offices</c:v>
                </c:pt>
                <c:pt idx="6">
                  <c:v>Heat/Cool</c:v>
                </c:pt>
              </c:strCache>
            </c:strRef>
          </c:cat>
          <c:val>
            <c:numRef>
              <c:f>'Energy map 2'!$N$61:$N$67</c:f>
              <c:numCache>
                <c:formatCode>0.00%</c:formatCode>
                <c:ptCount val="7"/>
                <c:pt idx="0">
                  <c:v>0.66298897745888608</c:v>
                </c:pt>
                <c:pt idx="1">
                  <c:v>8.9660147221672468E-2</c:v>
                </c:pt>
                <c:pt idx="2">
                  <c:v>8.3697803679955204E-2</c:v>
                </c:pt>
                <c:pt idx="3">
                  <c:v>0.10147233725715002</c:v>
                </c:pt>
                <c:pt idx="4">
                  <c:v>3.4904218004493615E-2</c:v>
                </c:pt>
                <c:pt idx="5">
                  <c:v>3.3146451630166598E-3</c:v>
                </c:pt>
                <c:pt idx="6">
                  <c:v>2.3961871214825896E-2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0B-4F70-83CB-EB627972C2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792876" y="6086074"/>
    <xdr:ext cx="3834000" cy="25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2B024F-07E9-48E4-9464-45DB10DCE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212136" y="6192292"/>
    <xdr:ext cx="3834000" cy="252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FDFEEC-2085-45F7-B02B-F1D2CCF42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0D752-A5A5-403F-B0EF-F0E892BB8683}">
  <dimension ref="A1:U87"/>
  <sheetViews>
    <sheetView tabSelected="1" workbookViewId="0">
      <pane xSplit="8" ySplit="2" topLeftCell="I27" activePane="bottomRight" state="frozen"/>
      <selection pane="topRight" activeCell="I1" sqref="I1"/>
      <selection pane="bottomLeft" activeCell="A3" sqref="A3"/>
      <selection pane="bottomRight" activeCell="J40" sqref="J40"/>
    </sheetView>
  </sheetViews>
  <sheetFormatPr defaultRowHeight="12.75" x14ac:dyDescent="0.2"/>
  <cols>
    <col min="1" max="1" width="4.375" style="6" customWidth="1"/>
    <col min="2" max="2" width="22.375" style="6" customWidth="1"/>
    <col min="3" max="7" width="9.5" style="4" customWidth="1"/>
    <col min="8" max="8" width="10.625" style="6" customWidth="1"/>
    <col min="9" max="9" width="9" style="6"/>
    <col min="10" max="10" width="7.875" style="6" customWidth="1"/>
    <col min="11" max="11" width="14" style="6" customWidth="1"/>
    <col min="12" max="13" width="15" style="6" customWidth="1"/>
    <col min="14" max="14" width="10.25" style="6" bestFit="1" customWidth="1"/>
    <col min="15" max="16384" width="9" style="6"/>
  </cols>
  <sheetData>
    <row r="1" spans="1:21" s="1" customFormat="1" ht="38.25" customHeight="1" x14ac:dyDescent="0.2">
      <c r="A1" s="1" t="s">
        <v>0</v>
      </c>
    </row>
    <row r="2" spans="1:21" s="3" customFormat="1" ht="37.5" customHeight="1" x14ac:dyDescent="0.2">
      <c r="A2" s="76"/>
      <c r="B2" s="76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21" ht="15.75" customHeight="1" x14ac:dyDescent="0.2">
      <c r="A3" s="77" t="s">
        <v>7</v>
      </c>
      <c r="B3" s="78"/>
      <c r="C3" s="78"/>
      <c r="D3" s="78"/>
      <c r="E3" s="78"/>
      <c r="F3" s="78"/>
      <c r="G3" s="78"/>
      <c r="H3" s="79"/>
      <c r="I3" s="4"/>
      <c r="J3" s="5"/>
      <c r="P3" s="4" t="s">
        <v>8</v>
      </c>
      <c r="Q3" s="4" t="s">
        <v>9</v>
      </c>
      <c r="R3" s="4" t="s">
        <v>10</v>
      </c>
      <c r="S3" s="4"/>
      <c r="T3" s="4"/>
      <c r="U3" s="4"/>
    </row>
    <row r="4" spans="1:21" ht="12" customHeight="1" x14ac:dyDescent="0.2">
      <c r="A4" s="7" t="s">
        <v>11</v>
      </c>
      <c r="B4" s="8"/>
      <c r="C4" s="8"/>
      <c r="D4" s="8"/>
      <c r="E4" s="8"/>
      <c r="F4" s="8"/>
      <c r="G4" s="8"/>
      <c r="H4" s="9"/>
      <c r="I4" s="4"/>
      <c r="J4" s="5"/>
      <c r="P4" s="4">
        <f>24*350</f>
        <v>8400</v>
      </c>
      <c r="Q4" s="10">
        <f>24*350*0.85</f>
        <v>7140</v>
      </c>
      <c r="R4" s="4">
        <f>50*5*10</f>
        <v>2500</v>
      </c>
      <c r="S4" s="4"/>
      <c r="T4" s="4"/>
      <c r="U4" s="4"/>
    </row>
    <row r="5" spans="1:21" ht="12" customHeight="1" x14ac:dyDescent="0.2">
      <c r="A5" s="11"/>
      <c r="B5" s="12" t="s">
        <v>12</v>
      </c>
      <c r="C5" s="13">
        <v>78</v>
      </c>
      <c r="D5" s="14">
        <v>0.9</v>
      </c>
      <c r="E5" s="13">
        <f>C5*D5</f>
        <v>70.2</v>
      </c>
      <c r="F5" s="15">
        <f>$P$4</f>
        <v>8400</v>
      </c>
      <c r="G5" s="15">
        <f>E5*F5</f>
        <v>589680</v>
      </c>
      <c r="H5" s="68">
        <f>SUM(G5:G8)</f>
        <v>669480</v>
      </c>
      <c r="I5" s="4"/>
      <c r="J5" s="5"/>
      <c r="K5" s="6" t="s">
        <v>13</v>
      </c>
      <c r="L5" s="16">
        <f>H41/H55</f>
        <v>0.66298897745888608</v>
      </c>
      <c r="P5" s="4"/>
      <c r="R5" s="4"/>
      <c r="S5" s="4"/>
      <c r="T5" s="4"/>
      <c r="U5" s="4"/>
    </row>
    <row r="6" spans="1:21" ht="12" customHeight="1" x14ac:dyDescent="0.2">
      <c r="A6" s="11"/>
      <c r="B6" s="12" t="s">
        <v>14</v>
      </c>
      <c r="C6" s="13">
        <f>37+3</f>
        <v>40</v>
      </c>
      <c r="D6" s="14">
        <v>0</v>
      </c>
      <c r="E6" s="13">
        <f>C6*D6</f>
        <v>0</v>
      </c>
      <c r="F6" s="15">
        <f>$P$4</f>
        <v>8400</v>
      </c>
      <c r="G6" s="15">
        <f>E6*F6</f>
        <v>0</v>
      </c>
      <c r="H6" s="69"/>
      <c r="I6" s="4"/>
      <c r="J6" s="5"/>
      <c r="K6" s="6" t="s">
        <v>7</v>
      </c>
      <c r="L6" s="16">
        <f>H22/H55</f>
        <v>0.27483028815877769</v>
      </c>
      <c r="P6" s="4"/>
      <c r="R6" s="4"/>
      <c r="S6" s="4"/>
      <c r="T6" s="4"/>
      <c r="U6" s="4"/>
    </row>
    <row r="7" spans="1:21" ht="12" customHeight="1" x14ac:dyDescent="0.2">
      <c r="A7" s="11"/>
      <c r="B7" s="12" t="s">
        <v>15</v>
      </c>
      <c r="C7" s="13">
        <v>10</v>
      </c>
      <c r="D7" s="14">
        <v>0.8</v>
      </c>
      <c r="E7" s="13">
        <f>C7*D7</f>
        <v>8</v>
      </c>
      <c r="F7" s="15">
        <f t="shared" ref="F7:F8" si="0">$P$4</f>
        <v>8400</v>
      </c>
      <c r="G7" s="15">
        <f>E7*F7</f>
        <v>67200</v>
      </c>
      <c r="H7" s="69"/>
      <c r="J7" s="5"/>
      <c r="K7" s="6" t="s">
        <v>16</v>
      </c>
      <c r="L7" s="16">
        <f>H54/H55</f>
        <v>6.2180734382336164E-2</v>
      </c>
      <c r="P7" s="4"/>
      <c r="Q7" s="4"/>
      <c r="R7" s="4"/>
      <c r="S7" s="4"/>
      <c r="T7" s="4"/>
      <c r="U7" s="4"/>
    </row>
    <row r="8" spans="1:21" ht="12" customHeight="1" x14ac:dyDescent="0.2">
      <c r="A8" s="11"/>
      <c r="B8" s="12" t="s">
        <v>17</v>
      </c>
      <c r="C8" s="13">
        <v>1.5</v>
      </c>
      <c r="D8" s="14">
        <v>1</v>
      </c>
      <c r="E8" s="13">
        <f>C8*D8</f>
        <v>1.5</v>
      </c>
      <c r="F8" s="15">
        <f t="shared" si="0"/>
        <v>8400</v>
      </c>
      <c r="G8" s="15">
        <f>E8*F8</f>
        <v>12600</v>
      </c>
      <c r="H8" s="70"/>
      <c r="I8" s="5"/>
      <c r="J8" s="5"/>
      <c r="P8" s="4"/>
      <c r="Q8" s="4"/>
      <c r="R8" s="4"/>
      <c r="S8" s="4"/>
      <c r="T8" s="4"/>
      <c r="U8" s="4"/>
    </row>
    <row r="9" spans="1:21" ht="12" customHeight="1" x14ac:dyDescent="0.2">
      <c r="A9" s="7" t="s">
        <v>18</v>
      </c>
      <c r="B9" s="8"/>
      <c r="C9" s="8"/>
      <c r="D9" s="8"/>
      <c r="E9" s="8"/>
      <c r="F9" s="8"/>
      <c r="G9" s="8"/>
      <c r="H9" s="17"/>
      <c r="I9" s="5"/>
      <c r="J9" s="5"/>
      <c r="P9" s="4"/>
      <c r="Q9" s="10"/>
      <c r="R9" s="4"/>
      <c r="S9" s="4"/>
      <c r="T9" s="4"/>
      <c r="U9" s="4"/>
    </row>
    <row r="10" spans="1:21" ht="12" customHeight="1" x14ac:dyDescent="0.2">
      <c r="A10" s="11"/>
      <c r="B10" s="12" t="s">
        <v>19</v>
      </c>
      <c r="C10" s="13">
        <v>5</v>
      </c>
      <c r="D10" s="14">
        <v>1</v>
      </c>
      <c r="E10" s="13">
        <f t="shared" ref="E10:E16" si="1">C10*D10</f>
        <v>5</v>
      </c>
      <c r="F10" s="15">
        <f>$P$4</f>
        <v>8400</v>
      </c>
      <c r="G10" s="15">
        <f t="shared" ref="G10:G16" si="2">E10*F10</f>
        <v>42000</v>
      </c>
      <c r="H10" s="68">
        <f>SUM(G10:G16)</f>
        <v>564480</v>
      </c>
      <c r="I10" s="5"/>
      <c r="J10" s="5"/>
      <c r="L10" s="18"/>
      <c r="P10" s="4"/>
      <c r="Q10" s="4"/>
      <c r="R10" s="4"/>
      <c r="S10" s="4"/>
      <c r="T10" s="4"/>
      <c r="U10" s="4"/>
    </row>
    <row r="11" spans="1:21" ht="12" customHeight="1" x14ac:dyDescent="0.2">
      <c r="A11" s="11"/>
      <c r="B11" s="12" t="s">
        <v>20</v>
      </c>
      <c r="C11" s="13">
        <v>3.7</v>
      </c>
      <c r="D11" s="14">
        <v>1</v>
      </c>
      <c r="E11" s="13">
        <f t="shared" si="1"/>
        <v>3.7</v>
      </c>
      <c r="F11" s="15">
        <f t="shared" ref="F11:F16" si="3">$P$4</f>
        <v>8400</v>
      </c>
      <c r="G11" s="15">
        <f t="shared" si="2"/>
        <v>31080</v>
      </c>
      <c r="H11" s="69"/>
      <c r="I11" s="5"/>
      <c r="J11" s="5"/>
      <c r="L11" s="18"/>
      <c r="P11" s="4"/>
      <c r="Q11" s="4"/>
      <c r="R11" s="4"/>
      <c r="S11" s="4"/>
      <c r="T11" s="4"/>
      <c r="U11" s="4"/>
    </row>
    <row r="12" spans="1:21" ht="12" customHeight="1" x14ac:dyDescent="0.2">
      <c r="A12" s="11"/>
      <c r="B12" s="12" t="s">
        <v>21</v>
      </c>
      <c r="C12" s="13">
        <v>22</v>
      </c>
      <c r="D12" s="14">
        <v>1</v>
      </c>
      <c r="E12" s="13">
        <f t="shared" si="1"/>
        <v>22</v>
      </c>
      <c r="F12" s="15">
        <f t="shared" si="3"/>
        <v>8400</v>
      </c>
      <c r="G12" s="15">
        <f t="shared" si="2"/>
        <v>184800</v>
      </c>
      <c r="H12" s="69"/>
      <c r="I12" s="5"/>
      <c r="J12" s="5"/>
      <c r="L12" s="18"/>
    </row>
    <row r="13" spans="1:21" ht="12" customHeight="1" x14ac:dyDescent="0.2">
      <c r="A13" s="11"/>
      <c r="B13" s="12" t="s">
        <v>22</v>
      </c>
      <c r="C13" s="13">
        <v>7.5</v>
      </c>
      <c r="D13" s="14">
        <v>1</v>
      </c>
      <c r="E13" s="13">
        <f t="shared" si="1"/>
        <v>7.5</v>
      </c>
      <c r="F13" s="15">
        <f t="shared" si="3"/>
        <v>8400</v>
      </c>
      <c r="G13" s="15">
        <f t="shared" si="2"/>
        <v>63000</v>
      </c>
      <c r="H13" s="69"/>
      <c r="I13" s="5"/>
      <c r="J13" s="5"/>
      <c r="L13" s="18"/>
    </row>
    <row r="14" spans="1:21" ht="12" customHeight="1" x14ac:dyDescent="0.2">
      <c r="A14" s="11"/>
      <c r="B14" s="12" t="s">
        <v>23</v>
      </c>
      <c r="C14" s="13">
        <v>5</v>
      </c>
      <c r="D14" s="14">
        <v>1</v>
      </c>
      <c r="E14" s="13">
        <f t="shared" si="1"/>
        <v>5</v>
      </c>
      <c r="F14" s="15">
        <f t="shared" si="3"/>
        <v>8400</v>
      </c>
      <c r="G14" s="15">
        <f t="shared" si="2"/>
        <v>42000</v>
      </c>
      <c r="H14" s="69"/>
      <c r="I14" s="5"/>
      <c r="J14" s="5"/>
      <c r="L14" s="18"/>
    </row>
    <row r="15" spans="1:21" ht="12" customHeight="1" x14ac:dyDescent="0.2">
      <c r="A15" s="11"/>
      <c r="B15" s="12" t="s">
        <v>21</v>
      </c>
      <c r="C15" s="13">
        <v>18.5</v>
      </c>
      <c r="D15" s="14">
        <v>1</v>
      </c>
      <c r="E15" s="13">
        <f t="shared" si="1"/>
        <v>18.5</v>
      </c>
      <c r="F15" s="15">
        <f t="shared" si="3"/>
        <v>8400</v>
      </c>
      <c r="G15" s="15">
        <f t="shared" si="2"/>
        <v>155400</v>
      </c>
      <c r="H15" s="69"/>
      <c r="I15" s="5"/>
      <c r="J15" s="5"/>
      <c r="L15" s="18"/>
    </row>
    <row r="16" spans="1:21" ht="12" customHeight="1" x14ac:dyDescent="0.2">
      <c r="A16" s="11"/>
      <c r="B16" s="12" t="s">
        <v>24</v>
      </c>
      <c r="C16" s="13">
        <v>5.5</v>
      </c>
      <c r="D16" s="14">
        <v>1</v>
      </c>
      <c r="E16" s="13">
        <f t="shared" si="1"/>
        <v>5.5</v>
      </c>
      <c r="F16" s="15">
        <f t="shared" si="3"/>
        <v>8400</v>
      </c>
      <c r="G16" s="15">
        <f t="shared" si="2"/>
        <v>46200</v>
      </c>
      <c r="H16" s="70"/>
      <c r="I16" s="5"/>
      <c r="J16" s="5"/>
      <c r="L16" s="18"/>
      <c r="M16" s="19">
        <f>H5*0.3</f>
        <v>200844</v>
      </c>
    </row>
    <row r="17" spans="1:14" ht="12" customHeight="1" x14ac:dyDescent="0.2">
      <c r="A17" s="7" t="s">
        <v>25</v>
      </c>
      <c r="B17" s="8"/>
      <c r="C17" s="8"/>
      <c r="D17" s="8"/>
      <c r="E17" s="8"/>
      <c r="F17" s="8"/>
      <c r="G17" s="8"/>
      <c r="H17" s="9"/>
      <c r="I17" s="4"/>
      <c r="J17" s="5"/>
      <c r="N17" s="19">
        <f>M16*0.2</f>
        <v>40168.800000000003</v>
      </c>
    </row>
    <row r="18" spans="1:14" ht="12" customHeight="1" x14ac:dyDescent="0.2">
      <c r="A18" s="11"/>
      <c r="B18" s="12" t="s">
        <v>26</v>
      </c>
      <c r="C18" s="13">
        <v>92</v>
      </c>
      <c r="D18" s="14">
        <v>0.35</v>
      </c>
      <c r="E18" s="13">
        <f>C18*D18</f>
        <v>32.199999999999996</v>
      </c>
      <c r="F18" s="15">
        <f>$P$4</f>
        <v>8400</v>
      </c>
      <c r="G18" s="15">
        <f>E18*F18</f>
        <v>270479.99999999994</v>
      </c>
      <c r="H18" s="68">
        <f>SUM(G18:G21)</f>
        <v>818159.99999999988</v>
      </c>
      <c r="J18" s="5"/>
    </row>
    <row r="19" spans="1:14" ht="12" customHeight="1" x14ac:dyDescent="0.2">
      <c r="A19" s="11"/>
      <c r="B19" s="12" t="s">
        <v>27</v>
      </c>
      <c r="C19" s="13">
        <v>92</v>
      </c>
      <c r="D19" s="14">
        <v>0.35</v>
      </c>
      <c r="E19" s="13">
        <f>C19*D19</f>
        <v>32.199999999999996</v>
      </c>
      <c r="F19" s="15">
        <f t="shared" ref="F19:F21" si="4">$P$4</f>
        <v>8400</v>
      </c>
      <c r="G19" s="15">
        <f>E19*F19</f>
        <v>270479.99999999994</v>
      </c>
      <c r="H19" s="69"/>
      <c r="J19" s="5"/>
    </row>
    <row r="20" spans="1:14" ht="12" customHeight="1" x14ac:dyDescent="0.2">
      <c r="A20" s="11"/>
      <c r="B20" s="12" t="s">
        <v>28</v>
      </c>
      <c r="C20" s="13">
        <v>11</v>
      </c>
      <c r="D20" s="14">
        <v>1</v>
      </c>
      <c r="E20" s="13">
        <f>C20*D20</f>
        <v>11</v>
      </c>
      <c r="F20" s="15">
        <f t="shared" si="4"/>
        <v>8400</v>
      </c>
      <c r="G20" s="15">
        <f>E20*F20</f>
        <v>92400</v>
      </c>
      <c r="H20" s="69"/>
      <c r="I20" s="4"/>
      <c r="J20" s="5"/>
    </row>
    <row r="21" spans="1:14" ht="12" customHeight="1" x14ac:dyDescent="0.2">
      <c r="A21" s="20"/>
      <c r="B21" s="12" t="s">
        <v>29</v>
      </c>
      <c r="C21" s="13">
        <v>22</v>
      </c>
      <c r="D21" s="14">
        <v>1</v>
      </c>
      <c r="E21" s="13">
        <f>C21*D21</f>
        <v>22</v>
      </c>
      <c r="F21" s="15">
        <f t="shared" si="4"/>
        <v>8400</v>
      </c>
      <c r="G21" s="15">
        <f>E21*F21</f>
        <v>184800</v>
      </c>
      <c r="H21" s="70"/>
      <c r="I21" s="5"/>
      <c r="J21" s="5"/>
    </row>
    <row r="22" spans="1:14" ht="12" customHeight="1" x14ac:dyDescent="0.2">
      <c r="A22" s="7" t="s">
        <v>30</v>
      </c>
      <c r="B22" s="8"/>
      <c r="C22" s="8"/>
      <c r="D22" s="8"/>
      <c r="E22" s="8"/>
      <c r="F22" s="8"/>
      <c r="G22" s="9"/>
      <c r="H22" s="21">
        <f>SUM(H5:H21)</f>
        <v>2052120</v>
      </c>
      <c r="J22" s="22"/>
    </row>
    <row r="23" spans="1:14" ht="15.75" customHeight="1" x14ac:dyDescent="0.2">
      <c r="A23" s="23" t="s">
        <v>13</v>
      </c>
      <c r="B23" s="24"/>
      <c r="C23" s="24"/>
      <c r="D23" s="24"/>
      <c r="E23" s="24"/>
      <c r="F23" s="24"/>
      <c r="G23" s="24"/>
      <c r="H23" s="25"/>
      <c r="I23" s="4"/>
      <c r="J23" s="5"/>
    </row>
    <row r="24" spans="1:14" ht="12" customHeight="1" x14ac:dyDescent="0.2">
      <c r="A24" s="26" t="s">
        <v>31</v>
      </c>
      <c r="B24" s="27"/>
      <c r="C24" s="27"/>
      <c r="D24" s="27"/>
      <c r="E24" s="27"/>
      <c r="F24" s="27"/>
      <c r="G24" s="27"/>
      <c r="H24" s="28"/>
      <c r="J24" s="22"/>
    </row>
    <row r="25" spans="1:14" ht="12" customHeight="1" x14ac:dyDescent="0.2">
      <c r="A25" s="63" t="s">
        <v>32</v>
      </c>
      <c r="B25" s="29" t="s">
        <v>33</v>
      </c>
      <c r="C25" s="30">
        <v>45</v>
      </c>
      <c r="D25" s="31">
        <f>$L$29</f>
        <v>0.4</v>
      </c>
      <c r="E25" s="30">
        <f t="shared" ref="E25:E40" si="5">C25*D25</f>
        <v>18</v>
      </c>
      <c r="F25" s="64">
        <f>Q4</f>
        <v>7140</v>
      </c>
      <c r="G25" s="32">
        <f>E25*F25</f>
        <v>128520</v>
      </c>
      <c r="H25" s="66">
        <f>SUM(G25:G26)</f>
        <v>164791.20000000001</v>
      </c>
      <c r="J25" s="22"/>
    </row>
    <row r="26" spans="1:14" ht="12" customHeight="1" x14ac:dyDescent="0.2">
      <c r="A26" s="63"/>
      <c r="B26" s="33" t="s">
        <v>34</v>
      </c>
      <c r="C26" s="30">
        <v>25.4</v>
      </c>
      <c r="D26" s="34">
        <f>$L$30</f>
        <v>0.2</v>
      </c>
      <c r="E26" s="35">
        <f t="shared" si="5"/>
        <v>5.08</v>
      </c>
      <c r="F26" s="65"/>
      <c r="G26" s="32">
        <f>E26*F25</f>
        <v>36271.199999999997</v>
      </c>
      <c r="H26" s="67"/>
      <c r="J26" s="22"/>
    </row>
    <row r="27" spans="1:14" ht="12" customHeight="1" x14ac:dyDescent="0.2">
      <c r="A27" s="63" t="s">
        <v>35</v>
      </c>
      <c r="B27" s="29" t="s">
        <v>33</v>
      </c>
      <c r="C27" s="30">
        <v>37</v>
      </c>
      <c r="D27" s="31">
        <f>$L$29</f>
        <v>0.4</v>
      </c>
      <c r="E27" s="30">
        <f t="shared" si="5"/>
        <v>14.8</v>
      </c>
      <c r="F27" s="64">
        <f>$F$25</f>
        <v>7140</v>
      </c>
      <c r="G27" s="32">
        <f>E27*F27</f>
        <v>105672</v>
      </c>
      <c r="H27" s="66">
        <f>SUM(G27:G28)*8</f>
        <v>1122979.2</v>
      </c>
      <c r="J27" s="22"/>
    </row>
    <row r="28" spans="1:14" ht="12" customHeight="1" x14ac:dyDescent="0.2">
      <c r="A28" s="63"/>
      <c r="B28" s="33" t="s">
        <v>34</v>
      </c>
      <c r="C28" s="35">
        <v>24.3</v>
      </c>
      <c r="D28" s="34">
        <f>$L$30</f>
        <v>0.2</v>
      </c>
      <c r="E28" s="35">
        <f t="shared" si="5"/>
        <v>4.8600000000000003</v>
      </c>
      <c r="F28" s="65"/>
      <c r="G28" s="32">
        <f>E28*F27</f>
        <v>34700.400000000001</v>
      </c>
      <c r="H28" s="67"/>
      <c r="J28" s="22"/>
      <c r="K28" s="36"/>
      <c r="L28" s="37" t="s">
        <v>36</v>
      </c>
      <c r="M28" s="37" t="s">
        <v>37</v>
      </c>
    </row>
    <row r="29" spans="1:14" ht="12" customHeight="1" x14ac:dyDescent="0.2">
      <c r="A29" s="63" t="s">
        <v>38</v>
      </c>
      <c r="B29" s="29" t="s">
        <v>33</v>
      </c>
      <c r="C29" s="30">
        <v>30</v>
      </c>
      <c r="D29" s="31">
        <f>$L$29</f>
        <v>0.4</v>
      </c>
      <c r="E29" s="30">
        <f t="shared" si="5"/>
        <v>12</v>
      </c>
      <c r="F29" s="64">
        <f t="shared" ref="F29" si="6">$F$25</f>
        <v>7140</v>
      </c>
      <c r="G29" s="32">
        <f>E29*F29</f>
        <v>85680</v>
      </c>
      <c r="H29" s="66">
        <f>SUM(G29:G30)*19</f>
        <v>2170560</v>
      </c>
      <c r="J29" s="22"/>
      <c r="K29" s="38" t="s">
        <v>33</v>
      </c>
      <c r="L29" s="39">
        <v>0.4</v>
      </c>
      <c r="M29" s="39">
        <v>0.1</v>
      </c>
    </row>
    <row r="30" spans="1:14" ht="12" customHeight="1" x14ac:dyDescent="0.2">
      <c r="A30" s="63"/>
      <c r="B30" s="33" t="s">
        <v>34</v>
      </c>
      <c r="C30" s="30">
        <v>20</v>
      </c>
      <c r="D30" s="34">
        <f>$L$30</f>
        <v>0.2</v>
      </c>
      <c r="E30" s="35">
        <f t="shared" si="5"/>
        <v>4</v>
      </c>
      <c r="F30" s="65"/>
      <c r="G30" s="32">
        <f>E30*F29</f>
        <v>28560</v>
      </c>
      <c r="H30" s="67"/>
      <c r="J30" s="22"/>
      <c r="K30" s="38" t="s">
        <v>39</v>
      </c>
      <c r="L30" s="39">
        <v>0.2</v>
      </c>
      <c r="M30" s="39">
        <v>0.2</v>
      </c>
    </row>
    <row r="31" spans="1:14" ht="12" customHeight="1" x14ac:dyDescent="0.2">
      <c r="A31" s="63" t="s">
        <v>40</v>
      </c>
      <c r="B31" s="29" t="s">
        <v>33</v>
      </c>
      <c r="C31" s="30">
        <v>22</v>
      </c>
      <c r="D31" s="31">
        <f>$L$29</f>
        <v>0.4</v>
      </c>
      <c r="E31" s="30">
        <f t="shared" si="5"/>
        <v>8.8000000000000007</v>
      </c>
      <c r="F31" s="64">
        <f t="shared" ref="F31" si="7">$F$25</f>
        <v>7140</v>
      </c>
      <c r="G31" s="32">
        <f>E31*F31</f>
        <v>62832.000000000007</v>
      </c>
      <c r="H31" s="66">
        <f>SUM(G31:G32)*12</f>
        <v>935625.60000000009</v>
      </c>
      <c r="J31" s="22"/>
      <c r="K31" s="38" t="s">
        <v>41</v>
      </c>
      <c r="L31" s="39">
        <v>0.1</v>
      </c>
      <c r="M31" s="39">
        <v>0.25</v>
      </c>
    </row>
    <row r="32" spans="1:14" ht="12" customHeight="1" x14ac:dyDescent="0.2">
      <c r="A32" s="63"/>
      <c r="B32" s="33" t="s">
        <v>34</v>
      </c>
      <c r="C32" s="35">
        <v>10.6</v>
      </c>
      <c r="D32" s="34">
        <f>$L$30</f>
        <v>0.2</v>
      </c>
      <c r="E32" s="35">
        <f t="shared" si="5"/>
        <v>2.12</v>
      </c>
      <c r="F32" s="65"/>
      <c r="G32" s="32">
        <f>E32*F31</f>
        <v>15136.800000000001</v>
      </c>
      <c r="H32" s="67"/>
      <c r="J32" s="22"/>
      <c r="K32" s="38" t="s">
        <v>42</v>
      </c>
      <c r="L32" s="39">
        <v>0.2</v>
      </c>
      <c r="M32" s="39">
        <v>0.2</v>
      </c>
    </row>
    <row r="33" spans="1:10" ht="12" customHeight="1" x14ac:dyDescent="0.2">
      <c r="A33" s="63" t="s">
        <v>35</v>
      </c>
      <c r="B33" s="29" t="s">
        <v>33</v>
      </c>
      <c r="C33" s="30">
        <v>15</v>
      </c>
      <c r="D33" s="31">
        <f>$L$29</f>
        <v>0.4</v>
      </c>
      <c r="E33" s="30">
        <f t="shared" si="5"/>
        <v>6</v>
      </c>
      <c r="F33" s="64">
        <f t="shared" ref="F33" si="8">$F$25</f>
        <v>7140</v>
      </c>
      <c r="G33" s="32">
        <f>E33*F33</f>
        <v>42840</v>
      </c>
      <c r="H33" s="66">
        <f>SUM(G33:G34)*8</f>
        <v>427257.59999999998</v>
      </c>
      <c r="J33" s="22"/>
    </row>
    <row r="34" spans="1:10" ht="12" customHeight="1" x14ac:dyDescent="0.2">
      <c r="A34" s="63"/>
      <c r="B34" s="33" t="s">
        <v>34</v>
      </c>
      <c r="C34" s="30">
        <v>7.4</v>
      </c>
      <c r="D34" s="34">
        <f>$L$30</f>
        <v>0.2</v>
      </c>
      <c r="E34" s="35">
        <f t="shared" si="5"/>
        <v>1.4800000000000002</v>
      </c>
      <c r="F34" s="65"/>
      <c r="G34" s="32">
        <f>E34*F33</f>
        <v>10567.2</v>
      </c>
      <c r="H34" s="67"/>
      <c r="J34" s="22"/>
    </row>
    <row r="35" spans="1:10" ht="12" customHeight="1" x14ac:dyDescent="0.2">
      <c r="A35" s="63" t="s">
        <v>32</v>
      </c>
      <c r="B35" s="29" t="s">
        <v>33</v>
      </c>
      <c r="C35" s="30">
        <v>11</v>
      </c>
      <c r="D35" s="31">
        <f>$L$29</f>
        <v>0.4</v>
      </c>
      <c r="E35" s="30">
        <f t="shared" si="5"/>
        <v>4.4000000000000004</v>
      </c>
      <c r="F35" s="64">
        <f t="shared" ref="F35" si="9">$F$25</f>
        <v>7140</v>
      </c>
      <c r="G35" s="32">
        <f>E35*F35</f>
        <v>31416.000000000004</v>
      </c>
      <c r="H35" s="66">
        <f>SUM(G35:G36)*1</f>
        <v>39698.400000000001</v>
      </c>
      <c r="J35" s="22"/>
    </row>
    <row r="36" spans="1:10" ht="12" customHeight="1" x14ac:dyDescent="0.2">
      <c r="A36" s="63"/>
      <c r="B36" s="33" t="s">
        <v>34</v>
      </c>
      <c r="C36" s="35">
        <v>5.8</v>
      </c>
      <c r="D36" s="34">
        <f>$L$30</f>
        <v>0.2</v>
      </c>
      <c r="E36" s="35">
        <f t="shared" si="5"/>
        <v>1.1599999999999999</v>
      </c>
      <c r="F36" s="65"/>
      <c r="G36" s="32">
        <f>E36*F35</f>
        <v>8282.4</v>
      </c>
      <c r="H36" s="67"/>
      <c r="J36" s="22"/>
    </row>
    <row r="37" spans="1:10" ht="12" customHeight="1" x14ac:dyDescent="0.2">
      <c r="A37" s="63" t="s">
        <v>43</v>
      </c>
      <c r="B37" s="29" t="s">
        <v>33</v>
      </c>
      <c r="C37" s="30">
        <v>6.3</v>
      </c>
      <c r="D37" s="31">
        <f>$L$29</f>
        <v>0.4</v>
      </c>
      <c r="E37" s="30">
        <f t="shared" si="5"/>
        <v>2.52</v>
      </c>
      <c r="F37" s="64">
        <f t="shared" ref="F37" si="10">$F$25</f>
        <v>7140</v>
      </c>
      <c r="G37" s="32">
        <f>E37*F37</f>
        <v>17992.8</v>
      </c>
      <c r="H37" s="66">
        <f>SUM(G37:G38)*2</f>
        <v>38556</v>
      </c>
      <c r="J37" s="22"/>
    </row>
    <row r="38" spans="1:10" ht="12" customHeight="1" x14ac:dyDescent="0.2">
      <c r="A38" s="63"/>
      <c r="B38" s="33" t="s">
        <v>34</v>
      </c>
      <c r="C38" s="30">
        <v>0.9</v>
      </c>
      <c r="D38" s="34">
        <f>$L$30</f>
        <v>0.2</v>
      </c>
      <c r="E38" s="35">
        <f t="shared" si="5"/>
        <v>0.18000000000000002</v>
      </c>
      <c r="F38" s="65"/>
      <c r="G38" s="32">
        <f>E38*F37</f>
        <v>1285.2</v>
      </c>
      <c r="H38" s="67"/>
      <c r="J38" s="22"/>
    </row>
    <row r="39" spans="1:10" ht="12" customHeight="1" x14ac:dyDescent="0.2">
      <c r="A39" s="63" t="s">
        <v>44</v>
      </c>
      <c r="B39" s="29" t="s">
        <v>33</v>
      </c>
      <c r="C39" s="30">
        <v>4.5999999999999996</v>
      </c>
      <c r="D39" s="31">
        <f>$L$29</f>
        <v>0.4</v>
      </c>
      <c r="E39" s="30">
        <f t="shared" si="5"/>
        <v>1.8399999999999999</v>
      </c>
      <c r="F39" s="64">
        <f t="shared" ref="F39" si="11">$F$25</f>
        <v>7140</v>
      </c>
      <c r="G39" s="32">
        <f>E39*F39</f>
        <v>13137.599999999999</v>
      </c>
      <c r="H39" s="66">
        <f>SUM(G39:G40)*3</f>
        <v>50979.599999999991</v>
      </c>
      <c r="J39" s="22"/>
    </row>
    <row r="40" spans="1:10" ht="12" customHeight="1" x14ac:dyDescent="0.2">
      <c r="A40" s="63"/>
      <c r="B40" s="33" t="s">
        <v>34</v>
      </c>
      <c r="C40" s="35">
        <v>2.7</v>
      </c>
      <c r="D40" s="34">
        <f>$L$30</f>
        <v>0.2</v>
      </c>
      <c r="E40" s="35">
        <f t="shared" si="5"/>
        <v>0.54</v>
      </c>
      <c r="F40" s="65"/>
      <c r="G40" s="32">
        <f>E40*F39</f>
        <v>3855.6000000000004</v>
      </c>
      <c r="H40" s="67"/>
      <c r="J40" s="22"/>
    </row>
    <row r="41" spans="1:10" ht="12" customHeight="1" x14ac:dyDescent="0.2">
      <c r="A41" s="7" t="s">
        <v>45</v>
      </c>
      <c r="B41" s="8"/>
      <c r="C41" s="8"/>
      <c r="D41" s="8"/>
      <c r="E41" s="8"/>
      <c r="F41" s="8"/>
      <c r="G41" s="9"/>
      <c r="H41" s="21">
        <f>SUM(H25:H40)</f>
        <v>4950447.5999999996</v>
      </c>
      <c r="J41" s="22"/>
    </row>
    <row r="42" spans="1:10" ht="15.75" customHeight="1" x14ac:dyDescent="0.2">
      <c r="A42" s="23" t="s">
        <v>16</v>
      </c>
      <c r="B42" s="24"/>
      <c r="C42" s="24"/>
      <c r="D42" s="24"/>
      <c r="E42" s="24"/>
      <c r="F42" s="24"/>
      <c r="G42" s="24"/>
      <c r="H42" s="40"/>
      <c r="I42" s="4"/>
      <c r="J42" s="5"/>
    </row>
    <row r="43" spans="1:10" ht="12" customHeight="1" x14ac:dyDescent="0.2">
      <c r="A43" s="7" t="s">
        <v>46</v>
      </c>
      <c r="B43" s="8"/>
      <c r="C43" s="8"/>
      <c r="D43" s="8"/>
      <c r="E43" s="8"/>
      <c r="F43" s="8"/>
      <c r="G43" s="8"/>
      <c r="H43" s="9"/>
      <c r="J43" s="22"/>
    </row>
    <row r="44" spans="1:10" ht="12" customHeight="1" x14ac:dyDescent="0.2">
      <c r="A44" s="41"/>
      <c r="B44" s="12" t="s">
        <v>47</v>
      </c>
      <c r="C44" s="13">
        <v>30</v>
      </c>
      <c r="D44" s="14">
        <v>0.45</v>
      </c>
      <c r="E44" s="13">
        <f>C44*D44</f>
        <v>13.5</v>
      </c>
      <c r="F44" s="15">
        <v>2500</v>
      </c>
      <c r="G44" s="15">
        <f>E44*F44</f>
        <v>33750</v>
      </c>
      <c r="H44" s="68">
        <f>SUM(G44:G46)</f>
        <v>260625</v>
      </c>
      <c r="J44" s="22"/>
    </row>
    <row r="45" spans="1:10" ht="12" customHeight="1" x14ac:dyDescent="0.2">
      <c r="A45" s="41"/>
      <c r="B45" s="12" t="s">
        <v>48</v>
      </c>
      <c r="C45" s="13">
        <v>15</v>
      </c>
      <c r="D45" s="14">
        <v>0.45</v>
      </c>
      <c r="E45" s="13">
        <f>C45*D45</f>
        <v>6.75</v>
      </c>
      <c r="F45" s="15">
        <v>2500</v>
      </c>
      <c r="G45" s="15">
        <f>E45*F45</f>
        <v>16875</v>
      </c>
      <c r="H45" s="69"/>
      <c r="J45" s="22"/>
    </row>
    <row r="46" spans="1:10" ht="12" customHeight="1" x14ac:dyDescent="0.2">
      <c r="A46" s="41"/>
      <c r="B46" s="12" t="s">
        <v>49</v>
      </c>
      <c r="C46" s="13">
        <v>25</v>
      </c>
      <c r="D46" s="14">
        <v>1</v>
      </c>
      <c r="E46" s="13">
        <f>C46*D46</f>
        <v>25</v>
      </c>
      <c r="F46" s="15">
        <f>P4</f>
        <v>8400</v>
      </c>
      <c r="G46" s="15">
        <f>E46*F46</f>
        <v>210000</v>
      </c>
      <c r="H46" s="70"/>
      <c r="J46" s="22"/>
    </row>
    <row r="47" spans="1:10" ht="12" customHeight="1" x14ac:dyDescent="0.2">
      <c r="A47" s="7" t="s">
        <v>10</v>
      </c>
      <c r="B47" s="8"/>
      <c r="C47" s="8"/>
      <c r="D47" s="8"/>
      <c r="E47" s="8"/>
      <c r="F47" s="8"/>
      <c r="G47" s="8"/>
      <c r="H47" s="9"/>
      <c r="J47" s="22"/>
    </row>
    <row r="48" spans="1:10" ht="12" customHeight="1" x14ac:dyDescent="0.2">
      <c r="A48" s="41"/>
      <c r="B48" s="12" t="s">
        <v>47</v>
      </c>
      <c r="C48" s="13">
        <v>10</v>
      </c>
      <c r="D48" s="14">
        <v>0.45</v>
      </c>
      <c r="E48" s="13">
        <f>C48*D48</f>
        <v>4.5</v>
      </c>
      <c r="F48" s="15">
        <v>2500</v>
      </c>
      <c r="G48" s="15">
        <f>E48*F48</f>
        <v>11250</v>
      </c>
      <c r="H48" s="68">
        <f>SUM(G48:G49)</f>
        <v>24750</v>
      </c>
      <c r="J48" s="22"/>
    </row>
    <row r="49" spans="1:15" ht="12" customHeight="1" x14ac:dyDescent="0.2">
      <c r="A49" s="41"/>
      <c r="B49" s="12" t="s">
        <v>48</v>
      </c>
      <c r="C49" s="13">
        <v>12</v>
      </c>
      <c r="D49" s="14">
        <v>0.45</v>
      </c>
      <c r="E49" s="13">
        <f>C49*D49</f>
        <v>5.4</v>
      </c>
      <c r="F49" s="15">
        <v>2500</v>
      </c>
      <c r="G49" s="15">
        <f>E49*F49</f>
        <v>13500</v>
      </c>
      <c r="H49" s="69"/>
      <c r="J49" s="22"/>
    </row>
    <row r="50" spans="1:15" ht="12" customHeight="1" x14ac:dyDescent="0.2">
      <c r="A50" s="7" t="s">
        <v>50</v>
      </c>
      <c r="B50" s="8"/>
      <c r="C50" s="8"/>
      <c r="D50" s="8"/>
      <c r="E50" s="8"/>
      <c r="F50" s="8"/>
      <c r="G50" s="8"/>
      <c r="H50" s="17"/>
      <c r="J50" s="22"/>
    </row>
    <row r="51" spans="1:15" ht="12" customHeight="1" x14ac:dyDescent="0.2">
      <c r="A51" s="20"/>
      <c r="B51" s="12" t="s">
        <v>51</v>
      </c>
      <c r="C51" s="13">
        <v>46</v>
      </c>
      <c r="D51" s="14">
        <v>0.4</v>
      </c>
      <c r="E51" s="13">
        <f>C51*D51</f>
        <v>18.400000000000002</v>
      </c>
      <c r="F51" s="15">
        <f>$P$4/2</f>
        <v>4200</v>
      </c>
      <c r="G51" s="15">
        <f>E51*F51</f>
        <v>77280.000000000015</v>
      </c>
      <c r="H51" s="68">
        <f>SUM(G51:G53)</f>
        <v>178920.00000000003</v>
      </c>
      <c r="J51" s="22"/>
    </row>
    <row r="52" spans="1:15" ht="12" customHeight="1" x14ac:dyDescent="0.2">
      <c r="A52" s="20"/>
      <c r="B52" s="12" t="s">
        <v>52</v>
      </c>
      <c r="C52" s="13">
        <v>46</v>
      </c>
      <c r="D52" s="14">
        <v>0.4</v>
      </c>
      <c r="E52" s="13">
        <f>C52*D52</f>
        <v>18.400000000000002</v>
      </c>
      <c r="F52" s="15">
        <f>$P$4/2</f>
        <v>4200</v>
      </c>
      <c r="G52" s="15">
        <f>E52*F52</f>
        <v>77280.000000000015</v>
      </c>
      <c r="H52" s="69"/>
      <c r="J52" s="22"/>
    </row>
    <row r="53" spans="1:15" ht="12" customHeight="1" x14ac:dyDescent="0.2">
      <c r="A53" s="20"/>
      <c r="B53" s="12" t="s">
        <v>53</v>
      </c>
      <c r="C53" s="13">
        <v>14.5</v>
      </c>
      <c r="D53" s="14">
        <v>0.4</v>
      </c>
      <c r="E53" s="13">
        <f>C53*D53</f>
        <v>5.8000000000000007</v>
      </c>
      <c r="F53" s="15">
        <f>$P$4/2</f>
        <v>4200</v>
      </c>
      <c r="G53" s="15">
        <f>E53*F53</f>
        <v>24360.000000000004</v>
      </c>
      <c r="H53" s="70"/>
      <c r="J53" s="22"/>
    </row>
    <row r="54" spans="1:15" ht="12" customHeight="1" x14ac:dyDescent="0.2">
      <c r="A54" s="71" t="s">
        <v>54</v>
      </c>
      <c r="B54" s="72"/>
      <c r="C54" s="72"/>
      <c r="D54" s="72"/>
      <c r="E54" s="72"/>
      <c r="F54" s="72"/>
      <c r="G54" s="73"/>
      <c r="H54" s="21">
        <f>SUM(H44:H53)</f>
        <v>464295</v>
      </c>
      <c r="J54" s="22"/>
    </row>
    <row r="55" spans="1:15" ht="15.75" customHeight="1" x14ac:dyDescent="0.2">
      <c r="A55" s="42" t="s">
        <v>55</v>
      </c>
      <c r="B55" s="43"/>
      <c r="C55" s="44"/>
      <c r="D55" s="44"/>
      <c r="E55" s="44"/>
      <c r="F55" s="44"/>
      <c r="G55" s="44"/>
      <c r="H55" s="45">
        <f>H22+H41+H54</f>
        <v>7466862.5999999996</v>
      </c>
      <c r="K55" s="46"/>
      <c r="L55" s="46"/>
    </row>
    <row r="56" spans="1:15" ht="12" customHeight="1" x14ac:dyDescent="0.2">
      <c r="A56" s="47"/>
      <c r="B56" s="48"/>
      <c r="C56" s="49"/>
      <c r="D56" s="49"/>
      <c r="E56" s="49"/>
      <c r="F56" s="49"/>
      <c r="G56" s="49"/>
      <c r="H56" s="50"/>
      <c r="K56" s="46"/>
      <c r="L56" s="46"/>
    </row>
    <row r="57" spans="1:15" ht="12" customHeight="1" x14ac:dyDescent="0.2">
      <c r="A57" s="74" t="s">
        <v>56</v>
      </c>
      <c r="B57" s="74"/>
      <c r="C57" s="74"/>
      <c r="D57" s="75" t="s">
        <v>57</v>
      </c>
      <c r="E57" s="75"/>
      <c r="F57" s="75"/>
      <c r="G57" s="75"/>
      <c r="H57" s="51">
        <f>H55</f>
        <v>7466862.5999999996</v>
      </c>
      <c r="K57" s="46"/>
    </row>
    <row r="58" spans="1:15" ht="12" customHeight="1" x14ac:dyDescent="0.2">
      <c r="A58" s="74"/>
      <c r="B58" s="74"/>
      <c r="C58" s="74"/>
      <c r="D58" s="75" t="s">
        <v>58</v>
      </c>
      <c r="E58" s="75"/>
      <c r="F58" s="75"/>
      <c r="G58" s="75"/>
      <c r="H58" s="51">
        <v>7624757</v>
      </c>
    </row>
    <row r="59" spans="1:15" ht="12" customHeight="1" x14ac:dyDescent="0.2">
      <c r="A59" s="74"/>
      <c r="B59" s="74"/>
      <c r="C59" s="74"/>
      <c r="D59" s="75" t="s">
        <v>59</v>
      </c>
      <c r="E59" s="75"/>
      <c r="F59" s="75"/>
      <c r="G59" s="75"/>
      <c r="H59" s="52">
        <f>(H57-H58)/H58</f>
        <v>-2.070812223917436E-2</v>
      </c>
    </row>
    <row r="60" spans="1:15" ht="26.25" customHeight="1" x14ac:dyDescent="0.2">
      <c r="L60" s="4"/>
      <c r="M60" s="53" t="s">
        <v>60</v>
      </c>
      <c r="N60" s="54" t="s">
        <v>61</v>
      </c>
      <c r="O60" s="4"/>
    </row>
    <row r="61" spans="1:15" ht="26.25" customHeight="1" x14ac:dyDescent="0.2">
      <c r="K61" s="62" t="s">
        <v>62</v>
      </c>
      <c r="L61" s="62"/>
      <c r="M61" s="55">
        <f>H41</f>
        <v>4950447.5999999996</v>
      </c>
      <c r="N61" s="56">
        <f t="shared" ref="N61:N67" si="12">M61/$H$55</f>
        <v>0.66298897745888608</v>
      </c>
      <c r="O61" s="57"/>
    </row>
    <row r="62" spans="1:15" ht="26.25" customHeight="1" x14ac:dyDescent="0.2">
      <c r="K62" s="62" t="s">
        <v>63</v>
      </c>
      <c r="L62" s="62"/>
      <c r="M62" s="55">
        <f>H5</f>
        <v>669480</v>
      </c>
      <c r="N62" s="56">
        <f t="shared" si="12"/>
        <v>8.9660147221672468E-2</v>
      </c>
      <c r="O62" s="57"/>
    </row>
    <row r="63" spans="1:15" ht="26.25" customHeight="1" x14ac:dyDescent="0.2">
      <c r="K63" s="62" t="s">
        <v>64</v>
      </c>
      <c r="L63" s="62"/>
      <c r="M63" s="55">
        <f>G10+G14+G18+G19</f>
        <v>624959.99999999988</v>
      </c>
      <c r="N63" s="56">
        <f t="shared" si="12"/>
        <v>8.3697803679955204E-2</v>
      </c>
      <c r="O63" s="57"/>
    </row>
    <row r="64" spans="1:15" ht="26.25" customHeight="1" x14ac:dyDescent="0.2">
      <c r="K64" s="62" t="s">
        <v>65</v>
      </c>
      <c r="L64" s="62"/>
      <c r="M64" s="55">
        <f>G11+G12+G13+G15+G16+G20+G21</f>
        <v>757680</v>
      </c>
      <c r="N64" s="56">
        <f t="shared" si="12"/>
        <v>0.10147233725715002</v>
      </c>
      <c r="O64" s="57"/>
    </row>
    <row r="65" spans="2:15" ht="26.25" customHeight="1" x14ac:dyDescent="0.2">
      <c r="K65" s="62" t="s">
        <v>46</v>
      </c>
      <c r="L65" s="62"/>
      <c r="M65" s="55">
        <f>H44</f>
        <v>260625</v>
      </c>
      <c r="N65" s="56">
        <f t="shared" si="12"/>
        <v>3.4904218004493615E-2</v>
      </c>
      <c r="O65" s="57"/>
    </row>
    <row r="66" spans="2:15" ht="26.25" customHeight="1" x14ac:dyDescent="0.2">
      <c r="K66" s="62" t="s">
        <v>10</v>
      </c>
      <c r="L66" s="62"/>
      <c r="M66" s="55">
        <f>H48</f>
        <v>24750</v>
      </c>
      <c r="N66" s="56">
        <f t="shared" si="12"/>
        <v>3.3146451630166598E-3</v>
      </c>
      <c r="O66" s="57"/>
    </row>
    <row r="67" spans="2:15" ht="26.25" customHeight="1" x14ac:dyDescent="0.2">
      <c r="K67" s="62" t="s">
        <v>66</v>
      </c>
      <c r="L67" s="62"/>
      <c r="M67" s="55">
        <f>H51</f>
        <v>178920.00000000003</v>
      </c>
      <c r="N67" s="56">
        <f t="shared" si="12"/>
        <v>2.3961871214825896E-2</v>
      </c>
      <c r="O67" s="57"/>
    </row>
    <row r="68" spans="2:15" x14ac:dyDescent="0.2">
      <c r="C68" s="6"/>
      <c r="D68" s="6"/>
      <c r="E68" s="6"/>
      <c r="F68" s="6"/>
      <c r="K68" s="61" t="s">
        <v>67</v>
      </c>
      <c r="L68" s="61"/>
      <c r="M68" s="58">
        <f>SUM(M61:M67)</f>
        <v>7466862.5999999996</v>
      </c>
      <c r="N68" s="59">
        <f>SUM(N61:N67)</f>
        <v>0.99999999999999978</v>
      </c>
      <c r="O68" s="57"/>
    </row>
    <row r="69" spans="2:15" x14ac:dyDescent="0.2">
      <c r="C69" s="6"/>
      <c r="D69" s="6"/>
      <c r="E69" s="6"/>
      <c r="F69" s="6"/>
    </row>
    <row r="70" spans="2:15" x14ac:dyDescent="0.2">
      <c r="C70" s="6"/>
      <c r="D70" s="6"/>
      <c r="E70" s="6"/>
      <c r="F70" s="6"/>
    </row>
    <row r="74" spans="2:15" x14ac:dyDescent="0.2">
      <c r="B74" s="4"/>
    </row>
    <row r="75" spans="2:15" x14ac:dyDescent="0.2">
      <c r="B75" s="60"/>
    </row>
    <row r="76" spans="2:15" x14ac:dyDescent="0.2">
      <c r="B76" s="4"/>
    </row>
    <row r="77" spans="2:15" x14ac:dyDescent="0.2">
      <c r="B77" s="4"/>
    </row>
    <row r="78" spans="2:15" x14ac:dyDescent="0.2">
      <c r="B78" s="4"/>
    </row>
    <row r="79" spans="2:15" x14ac:dyDescent="0.2">
      <c r="B79" s="4"/>
    </row>
    <row r="80" spans="2:15" x14ac:dyDescent="0.2">
      <c r="B80" s="4"/>
    </row>
    <row r="82" spans="1:15" x14ac:dyDescent="0.2">
      <c r="B82" s="60"/>
    </row>
    <row r="85" spans="1:15" s="4" customFormat="1" x14ac:dyDescent="0.2">
      <c r="A85" s="6"/>
      <c r="B85" s="6"/>
      <c r="H85" s="6"/>
      <c r="I85" s="6"/>
      <c r="J85" s="6"/>
      <c r="K85" s="6"/>
      <c r="L85" s="6"/>
      <c r="M85" s="6"/>
      <c r="N85" s="6"/>
      <c r="O85" s="6"/>
    </row>
    <row r="87" spans="1:15" s="4" customFormat="1" x14ac:dyDescent="0.2">
      <c r="A87" s="6"/>
      <c r="B87" s="6"/>
      <c r="H87" s="6"/>
      <c r="I87" s="6"/>
      <c r="J87" s="6"/>
      <c r="K87" s="6"/>
      <c r="L87" s="6"/>
      <c r="M87" s="6"/>
      <c r="N87" s="6"/>
      <c r="O87" s="6"/>
    </row>
  </sheetData>
  <mergeCells count="45">
    <mergeCell ref="A25:A26"/>
    <mergeCell ref="F25:F26"/>
    <mergeCell ref="H25:H26"/>
    <mergeCell ref="A2:B2"/>
    <mergeCell ref="A3:H3"/>
    <mergeCell ref="H5:H8"/>
    <mergeCell ref="H10:H16"/>
    <mergeCell ref="H18:H21"/>
    <mergeCell ref="A27:A28"/>
    <mergeCell ref="F27:F28"/>
    <mergeCell ref="H27:H28"/>
    <mergeCell ref="A29:A30"/>
    <mergeCell ref="F29:F30"/>
    <mergeCell ref="H29:H30"/>
    <mergeCell ref="A31:A32"/>
    <mergeCell ref="F31:F32"/>
    <mergeCell ref="H31:H32"/>
    <mergeCell ref="A33:A34"/>
    <mergeCell ref="F33:F34"/>
    <mergeCell ref="H33:H34"/>
    <mergeCell ref="A35:A36"/>
    <mergeCell ref="F35:F36"/>
    <mergeCell ref="H35:H36"/>
    <mergeCell ref="A37:A38"/>
    <mergeCell ref="F37:F38"/>
    <mergeCell ref="H37:H38"/>
    <mergeCell ref="K61:L61"/>
    <mergeCell ref="A39:A40"/>
    <mergeCell ref="F39:F40"/>
    <mergeCell ref="H39:H40"/>
    <mergeCell ref="H44:H46"/>
    <mergeCell ref="H48:H49"/>
    <mergeCell ref="H51:H53"/>
    <mergeCell ref="A54:G54"/>
    <mergeCell ref="A57:C59"/>
    <mergeCell ref="D57:G57"/>
    <mergeCell ref="D58:G58"/>
    <mergeCell ref="D59:G59"/>
    <mergeCell ref="K68:L68"/>
    <mergeCell ref="K62:L62"/>
    <mergeCell ref="K63:L63"/>
    <mergeCell ref="K64:L64"/>
    <mergeCell ref="K65:L65"/>
    <mergeCell ref="K66:L66"/>
    <mergeCell ref="K67:L67"/>
  </mergeCells>
  <pageMargins left="0.75" right="0.75" top="1" bottom="1" header="0.5" footer="0.5"/>
  <pageSetup paperSize="9" scale="94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map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 Map.xlsx</dc:title>
  <dc:creator>Robin Kent</dc:creator>
  <cp:lastModifiedBy>Robin Kent</cp:lastModifiedBy>
  <dcterms:created xsi:type="dcterms:W3CDTF">2024-07-12T11:45:23Z</dcterms:created>
  <dcterms:modified xsi:type="dcterms:W3CDTF">2024-07-12T16:59:25Z</dcterms:modified>
</cp:coreProperties>
</file>